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nni\Pictures\Assessing\Sales Studies\2025\Garfield\"/>
    </mc:Choice>
  </mc:AlternateContent>
  <xr:revisionPtr revIDLastSave="0" documentId="13_ncr:1_{DA207C8B-B716-4553-9865-AF12C9280863}" xr6:coauthVersionLast="47" xr6:coauthVersionMax="47" xr10:uidLastSave="{00000000-0000-0000-0000-000000000000}"/>
  <bookViews>
    <workbookView xWindow="-120" yWindow="-120" windowWidth="29040" windowHeight="15840" xr2:uid="{C4EE727E-202D-404D-A1EF-8EE85A1D787E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2" l="1"/>
  <c r="K2" i="2"/>
  <c r="Q2" i="2" s="1"/>
  <c r="I3" i="2"/>
  <c r="K3" i="2"/>
  <c r="S3" i="2" s="1"/>
  <c r="I4" i="2"/>
  <c r="K4" i="2"/>
  <c r="Q4" i="2" s="1"/>
  <c r="I5" i="2"/>
  <c r="K5" i="2"/>
  <c r="Q5" i="2" s="1"/>
  <c r="I6" i="2"/>
  <c r="K6" i="2"/>
  <c r="S6" i="2" s="1"/>
  <c r="I7" i="2"/>
  <c r="K7" i="2"/>
  <c r="Q7" i="2" s="1"/>
  <c r="I8" i="2"/>
  <c r="K8" i="2"/>
  <c r="Q8" i="2" s="1"/>
  <c r="I9" i="2"/>
  <c r="K9" i="2"/>
  <c r="R9" i="2" s="1"/>
  <c r="I10" i="2"/>
  <c r="K10" i="2"/>
  <c r="R10" i="2" s="1"/>
  <c r="I11" i="2"/>
  <c r="K11" i="2"/>
  <c r="S11" i="2" s="1"/>
  <c r="I12" i="2"/>
  <c r="K12" i="2"/>
  <c r="S12" i="2" s="1"/>
  <c r="I13" i="2"/>
  <c r="K13" i="2"/>
  <c r="S13" i="2" s="1"/>
  <c r="I14" i="2"/>
  <c r="K14" i="2"/>
  <c r="Q14" i="2" s="1"/>
  <c r="I15" i="2"/>
  <c r="K15" i="2"/>
  <c r="Q15" i="2" s="1"/>
  <c r="I16" i="2"/>
  <c r="K16" i="2"/>
  <c r="Q16" i="2" s="1"/>
  <c r="I17" i="2"/>
  <c r="K17" i="2"/>
  <c r="R17" i="2" s="1"/>
  <c r="I18" i="2"/>
  <c r="K18" i="2"/>
  <c r="S18" i="2" s="1"/>
  <c r="I19" i="2"/>
  <c r="K19" i="2"/>
  <c r="Q19" i="2" s="1"/>
  <c r="I20" i="2"/>
  <c r="K20" i="2"/>
  <c r="Q20" i="2" s="1"/>
  <c r="I21" i="2"/>
  <c r="K21" i="2"/>
  <c r="S21" i="2" s="1"/>
  <c r="I22" i="2"/>
  <c r="K22" i="2"/>
  <c r="Q22" i="2" s="1"/>
  <c r="I23" i="2"/>
  <c r="K23" i="2"/>
  <c r="Q23" i="2" s="1"/>
  <c r="I24" i="2"/>
  <c r="K24" i="2"/>
  <c r="Q24" i="2" s="1"/>
  <c r="D25" i="2"/>
  <c r="G25" i="2"/>
  <c r="H25" i="2"/>
  <c r="J25" i="2"/>
  <c r="L25" i="2"/>
  <c r="M25" i="2"/>
  <c r="O25" i="2"/>
  <c r="P25" i="2"/>
  <c r="S24" i="2" l="1"/>
  <c r="S14" i="2"/>
  <c r="R12" i="2"/>
  <c r="R18" i="2"/>
  <c r="R24" i="2"/>
  <c r="R3" i="2"/>
  <c r="R16" i="2"/>
  <c r="I26" i="2"/>
  <c r="Q9" i="2"/>
  <c r="Q17" i="2"/>
  <c r="Q12" i="2"/>
  <c r="Q3" i="2"/>
  <c r="S16" i="2"/>
  <c r="Q11" i="2"/>
  <c r="I27" i="2"/>
  <c r="Q18" i="2"/>
  <c r="S4" i="2"/>
  <c r="Q10" i="2"/>
  <c r="S7" i="2"/>
  <c r="R4" i="2"/>
  <c r="S9" i="2"/>
  <c r="R11" i="2"/>
  <c r="S19" i="2"/>
  <c r="S22" i="2"/>
  <c r="R19" i="2"/>
  <c r="R21" i="2"/>
  <c r="R13" i="2"/>
  <c r="R6" i="2"/>
  <c r="Q21" i="2"/>
  <c r="Q13" i="2"/>
  <c r="Q6" i="2"/>
  <c r="K25" i="2"/>
  <c r="R22" i="2"/>
  <c r="S17" i="2"/>
  <c r="R14" i="2"/>
  <c r="S10" i="2"/>
  <c r="R7" i="2"/>
  <c r="S2" i="2"/>
  <c r="S20" i="2"/>
  <c r="S5" i="2"/>
  <c r="R2" i="2"/>
  <c r="S23" i="2"/>
  <c r="R20" i="2"/>
  <c r="S15" i="2"/>
  <c r="S8" i="2"/>
  <c r="R5" i="2"/>
  <c r="R23" i="2"/>
  <c r="R15" i="2"/>
  <c r="R8" i="2"/>
  <c r="M27" i="2" l="1"/>
  <c r="P27" i="2"/>
  <c r="S27" i="2"/>
</calcChain>
</file>

<file path=xl/sharedStrings.xml><?xml version="1.0" encoding="utf-8"?>
<sst xmlns="http://schemas.openxmlformats.org/spreadsheetml/2006/main" count="245" uniqueCount="103">
  <si>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</si>
  <si>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</si>
  <si>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</si>
  <si>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</si>
  <si>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</si>
  <si>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</si>
  <si>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</si>
  <si>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</si>
  <si>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</si>
  <si>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</si>
  <si>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</si>
  <si>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</si>
  <si>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</si>
  <si>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</si>
  <si>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</si>
  <si>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</si>
  <si>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</si>
  <si>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</si>
  <si>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</si>
  <si>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</si>
  <si>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</si>
  <si>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</si>
  <si>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</si>
  <si>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</si>
  <si>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Class</t>
  </si>
  <si>
    <t>Rate Group 1</t>
  </si>
  <si>
    <t>18-01-252-017</t>
  </si>
  <si>
    <t>5146 S WEST BLISS LN</t>
  </si>
  <si>
    <t>WD</t>
  </si>
  <si>
    <t>03-ARM'S LENGTH</t>
  </si>
  <si>
    <t>WATER</t>
  </si>
  <si>
    <t>494/1151</t>
  </si>
  <si>
    <t>LAKE FRONT PROPERTIES</t>
  </si>
  <si>
    <t>401</t>
  </si>
  <si>
    <t>KIMBALL-PICK</t>
  </si>
  <si>
    <t>18-01-253-016</t>
  </si>
  <si>
    <t>5051 S EAST BLISS LN</t>
  </si>
  <si>
    <t>MLC</t>
  </si>
  <si>
    <t>490/9231,493/3438</t>
  </si>
  <si>
    <t>18-01-280-010</t>
  </si>
  <si>
    <t>99 W WILLOW LN</t>
  </si>
  <si>
    <t>496/5788</t>
  </si>
  <si>
    <t>18-01-360-005</t>
  </si>
  <si>
    <t>5544 S GORDON AVE</t>
  </si>
  <si>
    <t>497/6746</t>
  </si>
  <si>
    <t>18-01-360-008</t>
  </si>
  <si>
    <t>5560 S GORDON AVE</t>
  </si>
  <si>
    <t>489/2544</t>
  </si>
  <si>
    <t>491/3104</t>
  </si>
  <si>
    <t>18-01-456-010</t>
  </si>
  <si>
    <t>288 W PICKEREL LAKE DR</t>
  </si>
  <si>
    <t>489/8482,490/8485</t>
  </si>
  <si>
    <t>492/5385,4935618</t>
  </si>
  <si>
    <t>18-01-458-008</t>
  </si>
  <si>
    <t>284 W PICKEREL LAKE DR</t>
  </si>
  <si>
    <t>489/1112</t>
  </si>
  <si>
    <t>18-01-458-011</t>
  </si>
  <si>
    <t>268 W PICKEREL LAKE DR</t>
  </si>
  <si>
    <t>494/2842</t>
  </si>
  <si>
    <t>18-02-250-033</t>
  </si>
  <si>
    <t>5055 S GORDON AVE</t>
  </si>
  <si>
    <t>PTA</t>
  </si>
  <si>
    <t>495/7950</t>
  </si>
  <si>
    <t>18-02-327-002</t>
  </si>
  <si>
    <t>1330 W ASPREY DR</t>
  </si>
  <si>
    <t>492/1619</t>
  </si>
  <si>
    <t>18-02-380-004</t>
  </si>
  <si>
    <t>5470 S SHADY DR</t>
  </si>
  <si>
    <t>490/3552</t>
  </si>
  <si>
    <t>18-02-400-003</t>
  </si>
  <si>
    <t>5475 S GORDON AVE</t>
  </si>
  <si>
    <t>492/6063</t>
  </si>
  <si>
    <t>18-02-400-005</t>
  </si>
  <si>
    <t>S GORDON AVE</t>
  </si>
  <si>
    <t>496/64</t>
  </si>
  <si>
    <t>18-02-425-011</t>
  </si>
  <si>
    <t>1114 W COTTAGE LN</t>
  </si>
  <si>
    <t>18-02-449-018</t>
  </si>
  <si>
    <t>5301 S GORDON AVE</t>
  </si>
  <si>
    <t>489/491</t>
  </si>
  <si>
    <t>492/4664</t>
  </si>
  <si>
    <t>18-12-101-019</t>
  </si>
  <si>
    <t>683 W PICKEREL LAKE DR</t>
  </si>
  <si>
    <t>492/832</t>
  </si>
  <si>
    <t>18-12-227-012</t>
  </si>
  <si>
    <t>198 W PICKEREL LAKE DR</t>
  </si>
  <si>
    <t>495/2128</t>
  </si>
  <si>
    <t>18-12-229-002</t>
  </si>
  <si>
    <t>60 W NORTH LANE</t>
  </si>
  <si>
    <t>497/1240</t>
  </si>
  <si>
    <t>18-12-229-006</t>
  </si>
  <si>
    <t>10 W NORTH LANE DR</t>
  </si>
  <si>
    <t>497/4732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</si>
  <si>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</si>
  <si>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</si>
  <si>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</si>
  <si>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</si>
  <si>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</si>
  <si>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</si>
  <si>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</si>
  <si>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>2024 used:</t>
  </si>
  <si>
    <t>2025 use:</t>
  </si>
  <si>
    <t>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</si>
</sst>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0" fontId="0" fillId="0" borderId="0" xfId="0" quotePrefix="1"/>
    <xf numFmtId="0" fontId="2" fillId="3" borderId="1" xfId="0" applyFont="1" applyFill="1" applyBorder="1"/>
    <xf numFmtId="0" fontId="2" fillId="3" borderId="1" xfId="0" applyFont="1" applyFill="1" applyBorder="1" applyAlignment="1">
      <alignment horizontal="right"/>
    </xf>
    <xf numFmtId="0" fontId="2" fillId="3" borderId="0" xfId="0" applyFont="1" applyFill="1"/>
    <xf numFmtId="0" fontId="2" fillId="3" borderId="0" xfId="0" applyFont="1" applyFill="1" applyAlignment="1">
      <alignment horizontal="right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right"/>
    </xf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/>
    <xf numFmtId="167" fontId="2" fillId="3" borderId="2" xfId="0" applyNumberFormat="1" applyFont="1" applyFill="1" applyBorder="1"/>
    <xf numFmtId="40" fontId="1" fillId="2" borderId="0" xfId="0" applyNumberFormat="1" applyFont="1" applyFill="1" applyAlignment="1">
      <alignment horizontal="center"/>
    </xf>
    <xf numFmtId="40" fontId="0" fillId="0" borderId="0" xfId="0" applyNumberFormat="1"/>
    <xf numFmtId="40" fontId="2" fillId="3" borderId="1" xfId="0" applyNumberFormat="1" applyFont="1" applyFill="1" applyBorder="1"/>
    <xf numFmtId="40" fontId="2" fillId="3" borderId="0" xfId="0" applyNumberFormat="1" applyFont="1" applyFill="1"/>
    <xf numFmtId="40" fontId="2" fillId="3" borderId="2" xfId="0" applyNumberFormat="1" applyFont="1" applyFill="1" applyBorder="1"/>
    <xf numFmtId="8" fontId="1" fillId="2" borderId="0" xfId="0" applyNumberFormat="1" applyFont="1" applyFill="1" applyAlignment="1">
      <alignment horizontal="center"/>
    </xf>
    <xf numFmtId="8" fontId="0" fillId="0" borderId="0" xfId="0" applyNumberFormat="1"/>
    <xf numFmtId="8" fontId="2" fillId="3" borderId="1" xfId="0" applyNumberFormat="1" applyFont="1" applyFill="1" applyBorder="1"/>
    <xf numFmtId="8" fontId="2" fillId="3" borderId="0" xfId="0" applyNumberFormat="1" applyFont="1" applyFill="1"/>
    <xf numFmtId="8" fontId="2" fillId="3" borderId="2" xfId="0" applyNumberFormat="1" applyFont="1" applyFill="1" applyBorder="1"/>
    <xf numFmtId="168" fontId="2" fillId="3" borderId="2" xfId="0" applyNumberFormat="1" applyFont="1" applyFill="1" applyBorder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9D716-9BC7-490B-A8DE-1E097CB30CA6}">
  <dimension ref="A1:AT30"/>
  <sheetViews>
    <sheetView tabSelected="1" workbookViewId="0">
      <selection activeCell="M31" sqref="M31"/>
    </sheetView>
  </sheetViews>
  <sheetFormatPr defaultRowHeight="15" x14ac:dyDescent="0.25"/>
  <cols>
    <col min="1" max="1" width="17.5703125" customWidth="1"/>
    <col min="2" max="2" width="31.42578125" customWidth="1"/>
    <col min="3" max="3" width="13.42578125" style="24" customWidth="1"/>
    <col min="4" max="4" width="14.7109375" style="14" customWidth="1"/>
    <col min="5" max="5" width="5.85546875" customWidth="1"/>
    <col min="6" max="6" width="18" customWidth="1"/>
    <col min="7" max="7" width="15.28515625" style="14" customWidth="1"/>
    <col min="8" max="8" width="17.7109375" style="14" customWidth="1"/>
    <col min="9" max="9" width="12.140625" style="19" customWidth="1"/>
    <col min="10" max="10" width="15.42578125" style="14" customWidth="1"/>
    <col min="11" max="11" width="15.140625" style="14" customWidth="1"/>
    <col min="12" max="12" width="14.28515625" style="14" customWidth="1"/>
    <col min="13" max="13" width="12.5703125" style="29" customWidth="1"/>
    <col min="14" max="14" width="10.7109375" style="33" customWidth="1"/>
    <col min="15" max="15" width="14.7109375" style="38" customWidth="1"/>
    <col min="16" max="16" width="16.7109375" style="38" customWidth="1"/>
    <col min="17" max="17" width="10.7109375" style="14" customWidth="1"/>
    <col min="18" max="18" width="17.7109375" style="14" customWidth="1"/>
    <col min="19" max="19" width="17.7109375" style="43" customWidth="1"/>
    <col min="20" max="20" width="17.7109375" style="38" customWidth="1"/>
    <col min="21" max="21" width="20.7109375" style="4" customWidth="1"/>
    <col min="22" max="22" width="20.7109375" customWidth="1"/>
    <col min="23" max="23" width="20.5703125" customWidth="1"/>
    <col min="24" max="24" width="15.7109375" customWidth="1"/>
    <col min="25" max="25" width="6.85546875" customWidth="1"/>
    <col min="26" max="26" width="20.7109375" customWidth="1"/>
  </cols>
  <sheetData>
    <row r="1" spans="1:46" x14ac:dyDescent="0.25">
      <c r="A1" s="1" t="s">
        <v>0</v>
      </c>
      <c r="B1" s="1" t="s">
        <v>1</v>
      </c>
      <c r="C1" s="23" t="s">
        <v>2</v>
      </c>
      <c r="D1" s="13" t="s">
        <v>3</v>
      </c>
      <c r="E1" s="1" t="s">
        <v>4</v>
      </c>
      <c r="F1" s="1" t="s">
        <v>5</v>
      </c>
      <c r="G1" s="13" t="s">
        <v>6</v>
      </c>
      <c r="H1" s="13" t="s">
        <v>7</v>
      </c>
      <c r="I1" s="18" t="s">
        <v>8</v>
      </c>
      <c r="J1" s="13" t="s">
        <v>9</v>
      </c>
      <c r="K1" s="13" t="s">
        <v>10</v>
      </c>
      <c r="L1" s="13" t="s">
        <v>11</v>
      </c>
      <c r="M1" s="28" t="s">
        <v>12</v>
      </c>
      <c r="N1" s="32" t="s">
        <v>13</v>
      </c>
      <c r="O1" s="37" t="s">
        <v>14</v>
      </c>
      <c r="P1" s="37" t="s">
        <v>15</v>
      </c>
      <c r="Q1" s="13" t="s">
        <v>16</v>
      </c>
      <c r="R1" s="13" t="s">
        <v>17</v>
      </c>
      <c r="S1" s="42" t="s">
        <v>18</v>
      </c>
      <c r="T1" s="37" t="s">
        <v>19</v>
      </c>
      <c r="U1" s="3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46" x14ac:dyDescent="0.25">
      <c r="A2" t="s">
        <v>26</v>
      </c>
      <c r="B2" t="s">
        <v>27</v>
      </c>
      <c r="C2" s="24">
        <v>45100</v>
      </c>
      <c r="D2" s="14">
        <v>135000</v>
      </c>
      <c r="E2" t="s">
        <v>28</v>
      </c>
      <c r="F2" t="s">
        <v>29</v>
      </c>
      <c r="G2" s="14">
        <v>135000</v>
      </c>
      <c r="H2" s="14">
        <v>73200</v>
      </c>
      <c r="I2" s="19">
        <f t="shared" ref="I2:I24" si="0">H2/G2*100</f>
        <v>54.222222222222229</v>
      </c>
      <c r="J2" s="14">
        <v>152845</v>
      </c>
      <c r="K2" s="14">
        <f>G2-81646</f>
        <v>53354</v>
      </c>
      <c r="L2" s="14">
        <v>71199</v>
      </c>
      <c r="M2" s="29">
        <v>83.762935999999996</v>
      </c>
      <c r="N2" s="33">
        <v>135</v>
      </c>
      <c r="O2" s="38">
        <v>0.28699999999999998</v>
      </c>
      <c r="P2" s="38">
        <v>0.28699999999999998</v>
      </c>
      <c r="Q2" s="14">
        <f t="shared" ref="Q2:Q24" si="1">K2/M2</f>
        <v>636.96430125133156</v>
      </c>
      <c r="R2" s="14">
        <f t="shared" ref="R2:R24" si="2">K2/O2</f>
        <v>185902.43902439025</v>
      </c>
      <c r="S2" s="43">
        <f t="shared" ref="S2:S24" si="3">K2/O2/43560</f>
        <v>4.2677327599722279</v>
      </c>
      <c r="T2" s="38">
        <v>100</v>
      </c>
      <c r="U2" s="5" t="s">
        <v>30</v>
      </c>
      <c r="V2" t="s">
        <v>31</v>
      </c>
      <c r="X2" t="s">
        <v>32</v>
      </c>
      <c r="Y2" s="6" t="s">
        <v>33</v>
      </c>
      <c r="Z2" t="s">
        <v>34</v>
      </c>
      <c r="AK2" s="2"/>
      <c r="AM2" s="2"/>
    </row>
    <row r="3" spans="1:46" x14ac:dyDescent="0.25">
      <c r="A3" t="s">
        <v>35</v>
      </c>
      <c r="B3" t="s">
        <v>36</v>
      </c>
      <c r="C3" s="24">
        <v>44874</v>
      </c>
      <c r="D3" s="14">
        <v>155000</v>
      </c>
      <c r="E3" t="s">
        <v>37</v>
      </c>
      <c r="F3" t="s">
        <v>29</v>
      </c>
      <c r="G3" s="14">
        <v>155000</v>
      </c>
      <c r="H3" s="14">
        <v>100700</v>
      </c>
      <c r="I3" s="19">
        <f t="shared" si="0"/>
        <v>64.967741935483872</v>
      </c>
      <c r="J3" s="14">
        <v>220752</v>
      </c>
      <c r="K3" s="14">
        <f>G3-93978</f>
        <v>61022</v>
      </c>
      <c r="L3" s="14">
        <v>126774</v>
      </c>
      <c r="M3" s="29">
        <v>149.145884</v>
      </c>
      <c r="N3" s="33">
        <v>123</v>
      </c>
      <c r="O3" s="38">
        <v>0.56499999999999995</v>
      </c>
      <c r="P3" s="38">
        <v>0.56499999999999995</v>
      </c>
      <c r="Q3" s="14">
        <f t="shared" si="1"/>
        <v>409.14303743038596</v>
      </c>
      <c r="R3" s="14">
        <f t="shared" si="2"/>
        <v>108003.53982300886</v>
      </c>
      <c r="S3" s="43">
        <f t="shared" si="3"/>
        <v>2.4794201061296799</v>
      </c>
      <c r="T3" s="38">
        <v>200</v>
      </c>
      <c r="U3" s="5" t="s">
        <v>30</v>
      </c>
      <c r="V3" t="s">
        <v>38</v>
      </c>
      <c r="X3" t="s">
        <v>32</v>
      </c>
      <c r="Y3" s="6" t="s">
        <v>33</v>
      </c>
      <c r="Z3" t="s">
        <v>34</v>
      </c>
    </row>
    <row r="4" spans="1:46" x14ac:dyDescent="0.25">
      <c r="A4" t="s">
        <v>39</v>
      </c>
      <c r="B4" t="s">
        <v>40</v>
      </c>
      <c r="C4" s="24">
        <v>45434</v>
      </c>
      <c r="D4" s="14">
        <v>375000</v>
      </c>
      <c r="E4" t="s">
        <v>28</v>
      </c>
      <c r="F4" t="s">
        <v>29</v>
      </c>
      <c r="G4" s="14">
        <v>375000</v>
      </c>
      <c r="H4" s="14">
        <v>114300</v>
      </c>
      <c r="I4" s="19">
        <f t="shared" si="0"/>
        <v>30.48</v>
      </c>
      <c r="J4" s="14">
        <v>228603</v>
      </c>
      <c r="K4" s="14">
        <f>G4-91346</f>
        <v>283654</v>
      </c>
      <c r="L4" s="14">
        <v>137257</v>
      </c>
      <c r="M4" s="29">
        <v>80.739266000000001</v>
      </c>
      <c r="N4" s="33">
        <v>243</v>
      </c>
      <c r="O4" s="38">
        <v>0.432</v>
      </c>
      <c r="P4" s="38">
        <v>0.432</v>
      </c>
      <c r="Q4" s="14">
        <f t="shared" si="1"/>
        <v>3513.2100408244978</v>
      </c>
      <c r="R4" s="14">
        <f t="shared" si="2"/>
        <v>656606.48148148146</v>
      </c>
      <c r="S4" s="43">
        <f t="shared" si="3"/>
        <v>15.073610685984423</v>
      </c>
      <c r="T4" s="38">
        <v>80</v>
      </c>
      <c r="U4" s="5" t="s">
        <v>30</v>
      </c>
      <c r="V4" t="s">
        <v>41</v>
      </c>
      <c r="X4" t="s">
        <v>32</v>
      </c>
      <c r="Y4" s="6" t="s">
        <v>33</v>
      </c>
      <c r="Z4" t="s">
        <v>34</v>
      </c>
    </row>
    <row r="5" spans="1:46" x14ac:dyDescent="0.25">
      <c r="A5" t="s">
        <v>42</v>
      </c>
      <c r="B5" t="s">
        <v>43</v>
      </c>
      <c r="C5" s="24">
        <v>45534</v>
      </c>
      <c r="D5" s="14">
        <v>544500</v>
      </c>
      <c r="E5" t="s">
        <v>28</v>
      </c>
      <c r="F5" t="s">
        <v>29</v>
      </c>
      <c r="G5" s="14">
        <v>544500</v>
      </c>
      <c r="H5" s="14">
        <v>205400</v>
      </c>
      <c r="I5" s="19">
        <f t="shared" si="0"/>
        <v>37.722681359044998</v>
      </c>
      <c r="J5" s="14">
        <v>426673</v>
      </c>
      <c r="K5" s="14">
        <f>G5-347101</f>
        <v>197399</v>
      </c>
      <c r="L5" s="14">
        <v>79572</v>
      </c>
      <c r="M5" s="29">
        <v>46.806887000000003</v>
      </c>
      <c r="N5" s="33">
        <v>130</v>
      </c>
      <c r="O5" s="38">
        <v>0.13300000000000001</v>
      </c>
      <c r="P5" s="38">
        <v>0.13300000000000001</v>
      </c>
      <c r="Q5" s="14">
        <f t="shared" si="1"/>
        <v>4217.3067394975442</v>
      </c>
      <c r="R5" s="14">
        <f t="shared" si="2"/>
        <v>1484203.0075187969</v>
      </c>
      <c r="S5" s="43">
        <f t="shared" si="3"/>
        <v>34.072612661129405</v>
      </c>
      <c r="T5" s="38">
        <v>50</v>
      </c>
      <c r="U5" s="5" t="s">
        <v>30</v>
      </c>
      <c r="V5" t="s">
        <v>44</v>
      </c>
      <c r="X5" t="s">
        <v>32</v>
      </c>
      <c r="Y5" s="6" t="s">
        <v>33</v>
      </c>
      <c r="Z5" t="s">
        <v>34</v>
      </c>
    </row>
    <row r="6" spans="1:46" x14ac:dyDescent="0.25">
      <c r="A6" t="s">
        <v>45</v>
      </c>
      <c r="B6" t="s">
        <v>46</v>
      </c>
      <c r="C6" s="24">
        <v>44729</v>
      </c>
      <c r="D6" s="14">
        <v>246000</v>
      </c>
      <c r="E6" t="s">
        <v>28</v>
      </c>
      <c r="F6" t="s">
        <v>29</v>
      </c>
      <c r="G6" s="14">
        <v>246000</v>
      </c>
      <c r="H6" s="14">
        <v>92900</v>
      </c>
      <c r="I6" s="19">
        <f t="shared" si="0"/>
        <v>37.764227642276424</v>
      </c>
      <c r="J6" s="14">
        <v>278588</v>
      </c>
      <c r="K6" s="14">
        <f>G6-197587</f>
        <v>48413</v>
      </c>
      <c r="L6" s="14">
        <v>81001</v>
      </c>
      <c r="M6" s="29">
        <v>47.647475999999997</v>
      </c>
      <c r="N6" s="33">
        <v>120</v>
      </c>
      <c r="O6" s="38">
        <v>0.13100000000000001</v>
      </c>
      <c r="P6" s="38">
        <v>0.13100000000000001</v>
      </c>
      <c r="Q6" s="14">
        <f t="shared" si="1"/>
        <v>1016.0664124160534</v>
      </c>
      <c r="R6" s="14">
        <f t="shared" si="2"/>
        <v>369564.88549618318</v>
      </c>
      <c r="S6" s="43">
        <f t="shared" si="3"/>
        <v>8.484042366762699</v>
      </c>
      <c r="T6" s="38">
        <v>50</v>
      </c>
      <c r="U6" s="5" t="s">
        <v>30</v>
      </c>
      <c r="V6" t="s">
        <v>47</v>
      </c>
      <c r="X6" t="s">
        <v>32</v>
      </c>
      <c r="Y6" s="6" t="s">
        <v>33</v>
      </c>
      <c r="Z6" t="s">
        <v>34</v>
      </c>
    </row>
    <row r="7" spans="1:46" x14ac:dyDescent="0.25">
      <c r="A7" t="s">
        <v>45</v>
      </c>
      <c r="B7" t="s">
        <v>46</v>
      </c>
      <c r="C7" s="24">
        <v>44910</v>
      </c>
      <c r="D7" s="14">
        <v>526576</v>
      </c>
      <c r="E7" t="s">
        <v>28</v>
      </c>
      <c r="F7" t="s">
        <v>29</v>
      </c>
      <c r="G7" s="14">
        <v>526576</v>
      </c>
      <c r="H7" s="14">
        <v>92900</v>
      </c>
      <c r="I7" s="19">
        <f t="shared" si="0"/>
        <v>17.642277657925924</v>
      </c>
      <c r="J7" s="14">
        <v>278588</v>
      </c>
      <c r="K7" s="14">
        <f>G7-197587</f>
        <v>328989</v>
      </c>
      <c r="L7" s="14">
        <v>81001</v>
      </c>
      <c r="M7" s="29">
        <v>47.647475999999997</v>
      </c>
      <c r="N7" s="33">
        <v>120</v>
      </c>
      <c r="O7" s="38">
        <v>0.13100000000000001</v>
      </c>
      <c r="P7" s="38">
        <v>0.13100000000000001</v>
      </c>
      <c r="Q7" s="14">
        <f t="shared" si="1"/>
        <v>6904.646953387416</v>
      </c>
      <c r="R7" s="14">
        <f t="shared" si="2"/>
        <v>2511366.4122137404</v>
      </c>
      <c r="S7" s="43">
        <f t="shared" si="3"/>
        <v>57.653039766155658</v>
      </c>
      <c r="T7" s="38">
        <v>50</v>
      </c>
      <c r="U7" s="5" t="s">
        <v>30</v>
      </c>
      <c r="V7" t="s">
        <v>48</v>
      </c>
      <c r="X7" t="s">
        <v>32</v>
      </c>
      <c r="Y7" s="6" t="s">
        <v>33</v>
      </c>
      <c r="Z7" t="s">
        <v>34</v>
      </c>
    </row>
    <row r="8" spans="1:46" x14ac:dyDescent="0.25">
      <c r="A8" t="s">
        <v>49</v>
      </c>
      <c r="B8" t="s">
        <v>50</v>
      </c>
      <c r="C8" s="24">
        <v>44774</v>
      </c>
      <c r="D8" s="14">
        <v>250000</v>
      </c>
      <c r="E8" t="s">
        <v>37</v>
      </c>
      <c r="F8" t="s">
        <v>29</v>
      </c>
      <c r="G8" s="14">
        <v>250000</v>
      </c>
      <c r="H8" s="14">
        <v>103000</v>
      </c>
      <c r="I8" s="19">
        <f t="shared" si="0"/>
        <v>41.199999999999996</v>
      </c>
      <c r="J8" s="14">
        <v>224147</v>
      </c>
      <c r="K8" s="14">
        <f>G8-90689</f>
        <v>159311</v>
      </c>
      <c r="L8" s="14">
        <v>133458</v>
      </c>
      <c r="M8" s="29">
        <v>78.504789000000002</v>
      </c>
      <c r="N8" s="33">
        <v>280</v>
      </c>
      <c r="O8" s="38">
        <v>0.46</v>
      </c>
      <c r="P8" s="38">
        <v>0.46</v>
      </c>
      <c r="Q8" s="14">
        <f t="shared" si="1"/>
        <v>2029.3156892632371</v>
      </c>
      <c r="R8" s="14">
        <f t="shared" si="2"/>
        <v>346328.26086956519</v>
      </c>
      <c r="S8" s="43">
        <f t="shared" si="3"/>
        <v>7.9506028666107706</v>
      </c>
      <c r="T8" s="38">
        <v>76</v>
      </c>
      <c r="U8" s="5" t="s">
        <v>30</v>
      </c>
      <c r="V8" t="s">
        <v>51</v>
      </c>
      <c r="X8" t="s">
        <v>32</v>
      </c>
      <c r="Y8" s="6" t="s">
        <v>33</v>
      </c>
      <c r="Z8" t="s">
        <v>34</v>
      </c>
    </row>
    <row r="9" spans="1:46" x14ac:dyDescent="0.25">
      <c r="A9" t="s">
        <v>49</v>
      </c>
      <c r="B9" t="s">
        <v>50</v>
      </c>
      <c r="C9" s="24">
        <v>45044</v>
      </c>
      <c r="D9" s="14">
        <v>320000</v>
      </c>
      <c r="E9" t="s">
        <v>28</v>
      </c>
      <c r="F9" t="s">
        <v>29</v>
      </c>
      <c r="G9" s="14">
        <v>320000</v>
      </c>
      <c r="H9" s="14">
        <v>112100</v>
      </c>
      <c r="I9" s="19">
        <f t="shared" si="0"/>
        <v>35.03125</v>
      </c>
      <c r="J9" s="14">
        <v>232056</v>
      </c>
      <c r="K9" s="14">
        <f>G9-98598</f>
        <v>221402</v>
      </c>
      <c r="L9" s="14">
        <v>133458</v>
      </c>
      <c r="M9" s="29">
        <v>78.504789000000002</v>
      </c>
      <c r="N9" s="33">
        <v>280</v>
      </c>
      <c r="O9" s="38">
        <v>0.46</v>
      </c>
      <c r="P9" s="38">
        <v>0.46</v>
      </c>
      <c r="Q9" s="14">
        <f t="shared" si="1"/>
        <v>2820.235590977768</v>
      </c>
      <c r="R9" s="14">
        <f t="shared" si="2"/>
        <v>481308.69565217389</v>
      </c>
      <c r="S9" s="43">
        <f t="shared" si="3"/>
        <v>11.049327264742283</v>
      </c>
      <c r="T9" s="38">
        <v>76</v>
      </c>
      <c r="U9" s="5" t="s">
        <v>30</v>
      </c>
      <c r="V9" t="s">
        <v>52</v>
      </c>
      <c r="X9" t="s">
        <v>32</v>
      </c>
      <c r="Y9" s="6" t="s">
        <v>33</v>
      </c>
      <c r="Z9" t="s">
        <v>34</v>
      </c>
    </row>
    <row r="10" spans="1:46" x14ac:dyDescent="0.25">
      <c r="A10" t="s">
        <v>49</v>
      </c>
      <c r="B10" t="s">
        <v>50</v>
      </c>
      <c r="C10" s="24">
        <v>45505</v>
      </c>
      <c r="D10" s="14">
        <v>350000</v>
      </c>
      <c r="E10" t="s">
        <v>28</v>
      </c>
      <c r="F10" t="s">
        <v>29</v>
      </c>
      <c r="G10" s="14">
        <v>350000</v>
      </c>
      <c r="H10" s="14">
        <v>117700</v>
      </c>
      <c r="I10" s="19">
        <f t="shared" si="0"/>
        <v>33.628571428571433</v>
      </c>
      <c r="J10" s="14">
        <v>235476</v>
      </c>
      <c r="K10" s="14">
        <f>G10-102018</f>
        <v>247982</v>
      </c>
      <c r="L10" s="14">
        <v>133458</v>
      </c>
      <c r="M10" s="29">
        <v>78.504789000000002</v>
      </c>
      <c r="N10" s="33">
        <v>280</v>
      </c>
      <c r="O10" s="38">
        <v>0.46</v>
      </c>
      <c r="P10" s="38">
        <v>0.46</v>
      </c>
      <c r="Q10" s="14">
        <f t="shared" si="1"/>
        <v>3158.8136616735574</v>
      </c>
      <c r="R10" s="14">
        <f t="shared" si="2"/>
        <v>539091.30434782605</v>
      </c>
      <c r="S10" s="43">
        <f t="shared" si="3"/>
        <v>12.375833433145685</v>
      </c>
      <c r="T10" s="38">
        <v>76</v>
      </c>
      <c r="U10" s="5" t="s">
        <v>30</v>
      </c>
      <c r="X10" t="s">
        <v>32</v>
      </c>
      <c r="Y10" s="6" t="s">
        <v>33</v>
      </c>
      <c r="Z10" t="s">
        <v>34</v>
      </c>
    </row>
    <row r="11" spans="1:46" x14ac:dyDescent="0.25">
      <c r="A11" t="s">
        <v>53</v>
      </c>
      <c r="B11" t="s">
        <v>54</v>
      </c>
      <c r="C11" s="24">
        <v>44722</v>
      </c>
      <c r="D11" s="14">
        <v>485000</v>
      </c>
      <c r="E11" t="s">
        <v>28</v>
      </c>
      <c r="F11" t="s">
        <v>29</v>
      </c>
      <c r="G11" s="14">
        <v>485000</v>
      </c>
      <c r="H11" s="14">
        <v>152000</v>
      </c>
      <c r="I11" s="19">
        <f t="shared" si="0"/>
        <v>31.340206185567009</v>
      </c>
      <c r="J11" s="14">
        <v>339109</v>
      </c>
      <c r="K11" s="14">
        <f>G11-171289</f>
        <v>313711</v>
      </c>
      <c r="L11" s="14">
        <v>167820</v>
      </c>
      <c r="M11" s="29">
        <v>98.717523999999997</v>
      </c>
      <c r="N11" s="33">
        <v>250</v>
      </c>
      <c r="O11" s="38">
        <v>0.57399999999999995</v>
      </c>
      <c r="P11" s="38">
        <v>0.57399999999999995</v>
      </c>
      <c r="Q11" s="14">
        <f t="shared" si="1"/>
        <v>3177.865360561515</v>
      </c>
      <c r="R11" s="14">
        <f t="shared" si="2"/>
        <v>546534.8432055749</v>
      </c>
      <c r="S11" s="43">
        <f t="shared" si="3"/>
        <v>12.546713572212463</v>
      </c>
      <c r="T11" s="38">
        <v>100</v>
      </c>
      <c r="U11" s="5" t="s">
        <v>30</v>
      </c>
      <c r="V11" t="s">
        <v>55</v>
      </c>
      <c r="X11" t="s">
        <v>32</v>
      </c>
      <c r="Y11" s="6" t="s">
        <v>33</v>
      </c>
      <c r="Z11" t="s">
        <v>34</v>
      </c>
    </row>
    <row r="12" spans="1:46" x14ac:dyDescent="0.25">
      <c r="A12" t="s">
        <v>56</v>
      </c>
      <c r="B12" t="s">
        <v>57</v>
      </c>
      <c r="C12" s="24">
        <v>45177</v>
      </c>
      <c r="D12" s="14">
        <v>349000</v>
      </c>
      <c r="E12" t="s">
        <v>28</v>
      </c>
      <c r="F12" t="s">
        <v>29</v>
      </c>
      <c r="G12" s="14">
        <v>349000</v>
      </c>
      <c r="H12" s="14">
        <v>103200</v>
      </c>
      <c r="I12" s="19">
        <f t="shared" si="0"/>
        <v>29.570200573065904</v>
      </c>
      <c r="J12" s="14">
        <v>217916</v>
      </c>
      <c r="K12" s="14">
        <f>G12-143083</f>
        <v>205917</v>
      </c>
      <c r="L12" s="14">
        <v>74833</v>
      </c>
      <c r="M12" s="29">
        <v>44.019584000000002</v>
      </c>
      <c r="N12" s="33">
        <v>125</v>
      </c>
      <c r="O12" s="38">
        <v>0.13600000000000001</v>
      </c>
      <c r="P12" s="38">
        <v>0.13600000000000001</v>
      </c>
      <c r="Q12" s="14">
        <f t="shared" si="1"/>
        <v>4677.8497497840963</v>
      </c>
      <c r="R12" s="14">
        <f t="shared" si="2"/>
        <v>1514095.588235294</v>
      </c>
      <c r="S12" s="43">
        <f t="shared" si="3"/>
        <v>34.758851887862583</v>
      </c>
      <c r="T12" s="38">
        <v>35</v>
      </c>
      <c r="U12" s="5" t="s">
        <v>30</v>
      </c>
      <c r="V12" t="s">
        <v>58</v>
      </c>
      <c r="X12" t="s">
        <v>32</v>
      </c>
      <c r="Y12" s="6" t="s">
        <v>33</v>
      </c>
      <c r="Z12" t="s">
        <v>34</v>
      </c>
    </row>
    <row r="13" spans="1:46" x14ac:dyDescent="0.25">
      <c r="A13" t="s">
        <v>59</v>
      </c>
      <c r="B13" t="s">
        <v>60</v>
      </c>
      <c r="C13" s="24">
        <v>45345</v>
      </c>
      <c r="D13" s="14">
        <v>525000</v>
      </c>
      <c r="E13" t="s">
        <v>28</v>
      </c>
      <c r="F13" t="s">
        <v>29</v>
      </c>
      <c r="G13" s="14">
        <v>525000</v>
      </c>
      <c r="H13" s="14">
        <v>274400</v>
      </c>
      <c r="I13" s="19">
        <f t="shared" si="0"/>
        <v>52.266666666666659</v>
      </c>
      <c r="J13" s="14">
        <v>595859</v>
      </c>
      <c r="K13" s="14">
        <f>G13-424192</f>
        <v>100808</v>
      </c>
      <c r="L13" s="14">
        <v>171667</v>
      </c>
      <c r="M13" s="29">
        <v>100.98058</v>
      </c>
      <c r="N13" s="33">
        <v>280</v>
      </c>
      <c r="O13" s="38">
        <v>0.64300000000000002</v>
      </c>
      <c r="P13" s="38">
        <v>0.64300000000000002</v>
      </c>
      <c r="Q13" s="14">
        <f t="shared" si="1"/>
        <v>998.29095851895477</v>
      </c>
      <c r="R13" s="14">
        <f t="shared" si="2"/>
        <v>156777.60497667184</v>
      </c>
      <c r="S13" s="43">
        <f t="shared" si="3"/>
        <v>3.59911857154894</v>
      </c>
      <c r="T13" s="38">
        <v>100</v>
      </c>
      <c r="U13" s="5" t="s">
        <v>30</v>
      </c>
      <c r="V13" t="s">
        <v>62</v>
      </c>
      <c r="X13" t="s">
        <v>32</v>
      </c>
      <c r="Y13" s="6" t="s">
        <v>33</v>
      </c>
      <c r="Z13" t="s">
        <v>34</v>
      </c>
    </row>
    <row r="14" spans="1:46" x14ac:dyDescent="0.25">
      <c r="A14" t="s">
        <v>63</v>
      </c>
      <c r="B14" t="s">
        <v>64</v>
      </c>
      <c r="C14" s="24">
        <v>45009</v>
      </c>
      <c r="D14" s="14">
        <v>469000</v>
      </c>
      <c r="E14" t="s">
        <v>28</v>
      </c>
      <c r="F14" t="s">
        <v>29</v>
      </c>
      <c r="G14" s="14">
        <v>469000</v>
      </c>
      <c r="H14" s="14">
        <v>169100</v>
      </c>
      <c r="I14" s="19">
        <f t="shared" si="0"/>
        <v>36.055437100213226</v>
      </c>
      <c r="J14" s="14">
        <v>399676</v>
      </c>
      <c r="K14" s="14">
        <f>G14-299709</f>
        <v>169291</v>
      </c>
      <c r="L14" s="14">
        <v>99967</v>
      </c>
      <c r="M14" s="29">
        <v>58.803950999999998</v>
      </c>
      <c r="N14" s="33">
        <v>300</v>
      </c>
      <c r="O14" s="38">
        <v>0.34399999999999997</v>
      </c>
      <c r="P14" s="38">
        <v>0.77</v>
      </c>
      <c r="Q14" s="14">
        <f t="shared" si="1"/>
        <v>2878.905194652652</v>
      </c>
      <c r="R14" s="14">
        <f t="shared" si="2"/>
        <v>492125.00000000006</v>
      </c>
      <c r="S14" s="43">
        <f t="shared" si="3"/>
        <v>11.297635445362719</v>
      </c>
      <c r="T14" s="38">
        <v>50</v>
      </c>
      <c r="U14" s="5" t="s">
        <v>30</v>
      </c>
      <c r="V14" t="s">
        <v>65</v>
      </c>
      <c r="X14" t="s">
        <v>32</v>
      </c>
      <c r="Y14" s="6" t="s">
        <v>33</v>
      </c>
      <c r="Z14" t="s">
        <v>34</v>
      </c>
    </row>
    <row r="15" spans="1:46" x14ac:dyDescent="0.25">
      <c r="A15" t="s">
        <v>66</v>
      </c>
      <c r="B15" t="s">
        <v>67</v>
      </c>
      <c r="C15" s="24">
        <v>44830</v>
      </c>
      <c r="D15" s="14">
        <v>361000</v>
      </c>
      <c r="E15" t="s">
        <v>28</v>
      </c>
      <c r="F15" t="s">
        <v>29</v>
      </c>
      <c r="G15" s="14">
        <v>361000</v>
      </c>
      <c r="H15" s="14">
        <v>118300</v>
      </c>
      <c r="I15" s="19">
        <f t="shared" si="0"/>
        <v>32.770083102493075</v>
      </c>
      <c r="J15" s="14">
        <v>274099</v>
      </c>
      <c r="K15" s="14">
        <f>G15-142325</f>
        <v>218675</v>
      </c>
      <c r="L15" s="14">
        <v>131774</v>
      </c>
      <c r="M15" s="29">
        <v>77.514377999999994</v>
      </c>
      <c r="N15" s="33">
        <v>216</v>
      </c>
      <c r="O15" s="38">
        <v>0.40200000000000002</v>
      </c>
      <c r="P15" s="38">
        <v>0.40200000000000002</v>
      </c>
      <c r="Q15" s="14">
        <f t="shared" si="1"/>
        <v>2821.0895274164495</v>
      </c>
      <c r="R15" s="14">
        <f t="shared" si="2"/>
        <v>543967.66169154225</v>
      </c>
      <c r="S15" s="43">
        <f t="shared" si="3"/>
        <v>12.487779194020712</v>
      </c>
      <c r="T15" s="38">
        <v>68</v>
      </c>
      <c r="U15" s="5" t="s">
        <v>30</v>
      </c>
      <c r="V15" t="s">
        <v>68</v>
      </c>
      <c r="X15" t="s">
        <v>32</v>
      </c>
      <c r="Y15" s="6" t="s">
        <v>33</v>
      </c>
      <c r="Z15" t="s">
        <v>34</v>
      </c>
    </row>
    <row r="16" spans="1:46" x14ac:dyDescent="0.25">
      <c r="A16" t="s">
        <v>69</v>
      </c>
      <c r="B16" t="s">
        <v>70</v>
      </c>
      <c r="C16" s="24">
        <v>45048</v>
      </c>
      <c r="D16" s="14">
        <v>378161</v>
      </c>
      <c r="E16" t="s">
        <v>28</v>
      </c>
      <c r="F16" t="s">
        <v>29</v>
      </c>
      <c r="G16" s="14">
        <v>378161</v>
      </c>
      <c r="H16" s="14">
        <v>141600</v>
      </c>
      <c r="I16" s="19">
        <f t="shared" si="0"/>
        <v>37.444368932809041</v>
      </c>
      <c r="J16" s="14">
        <v>325792</v>
      </c>
      <c r="K16" s="14">
        <f>G16-188825</f>
        <v>189336</v>
      </c>
      <c r="L16" s="14">
        <v>136967</v>
      </c>
      <c r="M16" s="29">
        <v>80.568753999999998</v>
      </c>
      <c r="N16" s="33">
        <v>50</v>
      </c>
      <c r="O16" s="38">
        <v>0.13300000000000001</v>
      </c>
      <c r="P16" s="38">
        <v>0.13300000000000001</v>
      </c>
      <c r="Q16" s="14">
        <f t="shared" si="1"/>
        <v>2349.9929017147269</v>
      </c>
      <c r="R16" s="14">
        <f t="shared" si="2"/>
        <v>1423578.9473684209</v>
      </c>
      <c r="S16" s="43">
        <f t="shared" si="3"/>
        <v>32.680875743076697</v>
      </c>
      <c r="T16" s="38">
        <v>116</v>
      </c>
      <c r="U16" s="5" t="s">
        <v>30</v>
      </c>
      <c r="V16" t="s">
        <v>71</v>
      </c>
      <c r="X16" t="s">
        <v>32</v>
      </c>
      <c r="Y16" s="6" t="s">
        <v>33</v>
      </c>
      <c r="Z16" t="s">
        <v>34</v>
      </c>
    </row>
    <row r="17" spans="1:26" x14ac:dyDescent="0.25">
      <c r="A17" t="s">
        <v>72</v>
      </c>
      <c r="B17" t="s">
        <v>73</v>
      </c>
      <c r="C17" s="24">
        <v>45380</v>
      </c>
      <c r="D17" s="14">
        <v>226300</v>
      </c>
      <c r="E17" t="s">
        <v>28</v>
      </c>
      <c r="F17" t="s">
        <v>29</v>
      </c>
      <c r="G17" s="14">
        <v>226300</v>
      </c>
      <c r="H17" s="14">
        <v>146000</v>
      </c>
      <c r="I17" s="19">
        <f t="shared" si="0"/>
        <v>64.516129032258064</v>
      </c>
      <c r="J17" s="14">
        <v>315691</v>
      </c>
      <c r="K17" s="14">
        <f>G17-210726</f>
        <v>15574</v>
      </c>
      <c r="L17" s="14">
        <v>104965</v>
      </c>
      <c r="M17" s="29">
        <v>123.487739</v>
      </c>
      <c r="N17" s="33">
        <v>62</v>
      </c>
      <c r="O17" s="38">
        <v>0.47899999999999998</v>
      </c>
      <c r="P17" s="38">
        <v>0.47899999999999998</v>
      </c>
      <c r="Q17" s="14">
        <f t="shared" si="1"/>
        <v>126.11778404979947</v>
      </c>
      <c r="R17" s="14">
        <f t="shared" si="2"/>
        <v>32513.569937369521</v>
      </c>
      <c r="S17" s="43">
        <f t="shared" si="3"/>
        <v>0.74640885990288153</v>
      </c>
      <c r="T17" s="38">
        <v>170</v>
      </c>
      <c r="U17" s="5" t="s">
        <v>30</v>
      </c>
      <c r="V17" t="s">
        <v>74</v>
      </c>
      <c r="X17" t="s">
        <v>32</v>
      </c>
      <c r="Y17" s="6" t="s">
        <v>33</v>
      </c>
      <c r="Z17" t="s">
        <v>34</v>
      </c>
    </row>
    <row r="18" spans="1:26" x14ac:dyDescent="0.25">
      <c r="A18" t="s">
        <v>75</v>
      </c>
      <c r="B18" t="s">
        <v>76</v>
      </c>
      <c r="C18" s="24">
        <v>45531</v>
      </c>
      <c r="D18" s="14">
        <v>475000</v>
      </c>
      <c r="E18" t="s">
        <v>61</v>
      </c>
      <c r="F18" t="s">
        <v>29</v>
      </c>
      <c r="G18" s="14">
        <v>475000</v>
      </c>
      <c r="H18" s="14">
        <v>203700</v>
      </c>
      <c r="I18" s="19">
        <f t="shared" si="0"/>
        <v>42.88421052631579</v>
      </c>
      <c r="J18" s="14">
        <v>407439</v>
      </c>
      <c r="K18" s="14">
        <f>G18-265028</f>
        <v>209972</v>
      </c>
      <c r="L18" s="14">
        <v>142411</v>
      </c>
      <c r="M18" s="29">
        <v>83.771221999999995</v>
      </c>
      <c r="N18" s="33">
        <v>195</v>
      </c>
      <c r="O18" s="38">
        <v>0.40300000000000002</v>
      </c>
      <c r="P18" s="38">
        <v>0.40300000000000002</v>
      </c>
      <c r="Q18" s="14">
        <f t="shared" si="1"/>
        <v>2506.4932203089984</v>
      </c>
      <c r="R18" s="14">
        <f t="shared" si="2"/>
        <v>521022.33250620344</v>
      </c>
      <c r="S18" s="43">
        <f t="shared" si="3"/>
        <v>11.961026917038646</v>
      </c>
      <c r="T18" s="38">
        <v>80</v>
      </c>
      <c r="U18" s="5" t="s">
        <v>30</v>
      </c>
      <c r="V18" t="s">
        <v>61</v>
      </c>
      <c r="X18" t="s">
        <v>32</v>
      </c>
      <c r="Y18" s="6" t="s">
        <v>33</v>
      </c>
      <c r="Z18" t="s">
        <v>34</v>
      </c>
    </row>
    <row r="19" spans="1:26" x14ac:dyDescent="0.25">
      <c r="A19" t="s">
        <v>77</v>
      </c>
      <c r="B19" t="s">
        <v>78</v>
      </c>
      <c r="C19" s="24">
        <v>44721</v>
      </c>
      <c r="D19" s="14">
        <v>200000</v>
      </c>
      <c r="E19" t="s">
        <v>28</v>
      </c>
      <c r="F19" t="s">
        <v>29</v>
      </c>
      <c r="G19" s="14">
        <v>200000</v>
      </c>
      <c r="H19" s="14">
        <v>61700</v>
      </c>
      <c r="I19" s="19">
        <f t="shared" si="0"/>
        <v>30.85</v>
      </c>
      <c r="J19" s="14">
        <v>134074</v>
      </c>
      <c r="K19" s="14">
        <f>G19-53445</f>
        <v>146555</v>
      </c>
      <c r="L19" s="14">
        <v>80629</v>
      </c>
      <c r="M19" s="29">
        <v>47.428812000000001</v>
      </c>
      <c r="N19" s="33">
        <v>250</v>
      </c>
      <c r="O19" s="38">
        <v>0.23200000000000001</v>
      </c>
      <c r="P19" s="38">
        <v>0.23</v>
      </c>
      <c r="Q19" s="14">
        <f t="shared" si="1"/>
        <v>3089.9993868705797</v>
      </c>
      <c r="R19" s="14">
        <f t="shared" si="2"/>
        <v>631702.58620689646</v>
      </c>
      <c r="S19" s="43">
        <f t="shared" si="3"/>
        <v>14.501895918431966</v>
      </c>
      <c r="T19" s="38">
        <v>40</v>
      </c>
      <c r="U19" s="5" t="s">
        <v>30</v>
      </c>
      <c r="V19" t="s">
        <v>79</v>
      </c>
      <c r="X19" t="s">
        <v>32</v>
      </c>
      <c r="Y19" s="6" t="s">
        <v>33</v>
      </c>
      <c r="Z19" t="s">
        <v>34</v>
      </c>
    </row>
    <row r="20" spans="1:26" x14ac:dyDescent="0.25">
      <c r="A20" t="s">
        <v>77</v>
      </c>
      <c r="B20" t="s">
        <v>78</v>
      </c>
      <c r="C20" s="24">
        <v>45029</v>
      </c>
      <c r="D20" s="14">
        <v>225000</v>
      </c>
      <c r="E20" t="s">
        <v>28</v>
      </c>
      <c r="F20" t="s">
        <v>29</v>
      </c>
      <c r="G20" s="14">
        <v>225000</v>
      </c>
      <c r="H20" s="14">
        <v>67000</v>
      </c>
      <c r="I20" s="19">
        <f t="shared" si="0"/>
        <v>29.777777777777775</v>
      </c>
      <c r="J20" s="14">
        <v>134074</v>
      </c>
      <c r="K20" s="14">
        <f>G20-53445</f>
        <v>171555</v>
      </c>
      <c r="L20" s="14">
        <v>80629</v>
      </c>
      <c r="M20" s="29">
        <v>47.428812000000001</v>
      </c>
      <c r="N20" s="33">
        <v>250</v>
      </c>
      <c r="O20" s="38">
        <v>0.23200000000000001</v>
      </c>
      <c r="P20" s="38">
        <v>0.23</v>
      </c>
      <c r="Q20" s="14">
        <f t="shared" si="1"/>
        <v>3617.1051469726881</v>
      </c>
      <c r="R20" s="14">
        <f t="shared" si="2"/>
        <v>739461.20689655165</v>
      </c>
      <c r="S20" s="43">
        <f t="shared" si="3"/>
        <v>16.975693454925427</v>
      </c>
      <c r="T20" s="38">
        <v>40</v>
      </c>
      <c r="U20" s="5" t="s">
        <v>30</v>
      </c>
      <c r="V20" t="s">
        <v>80</v>
      </c>
      <c r="X20" t="s">
        <v>32</v>
      </c>
      <c r="Y20" s="6" t="s">
        <v>33</v>
      </c>
      <c r="Z20" t="s">
        <v>34</v>
      </c>
    </row>
    <row r="21" spans="1:26" x14ac:dyDescent="0.25">
      <c r="A21" t="s">
        <v>81</v>
      </c>
      <c r="B21" t="s">
        <v>82</v>
      </c>
      <c r="C21" s="24">
        <v>44775</v>
      </c>
      <c r="D21" s="14">
        <v>528576</v>
      </c>
      <c r="E21" t="s">
        <v>28</v>
      </c>
      <c r="F21" t="s">
        <v>29</v>
      </c>
      <c r="G21" s="14">
        <v>528576</v>
      </c>
      <c r="H21" s="14">
        <v>223100</v>
      </c>
      <c r="I21" s="19">
        <f t="shared" si="0"/>
        <v>42.207743068168057</v>
      </c>
      <c r="J21" s="14">
        <v>522563</v>
      </c>
      <c r="K21" s="14">
        <f>G21-375506</f>
        <v>153070</v>
      </c>
      <c r="L21" s="14">
        <v>147057</v>
      </c>
      <c r="M21" s="29">
        <v>80.621568999999994</v>
      </c>
      <c r="N21" s="33">
        <v>174</v>
      </c>
      <c r="O21" s="38">
        <v>0.34</v>
      </c>
      <c r="P21" s="38">
        <v>0.34</v>
      </c>
      <c r="Q21" s="14">
        <f t="shared" si="1"/>
        <v>1898.6234316526388</v>
      </c>
      <c r="R21" s="14">
        <f t="shared" si="2"/>
        <v>450205.88235294115</v>
      </c>
      <c r="S21" s="43">
        <f t="shared" si="3"/>
        <v>10.335304920866417</v>
      </c>
      <c r="T21" s="38">
        <v>85</v>
      </c>
      <c r="U21" s="5" t="s">
        <v>30</v>
      </c>
      <c r="V21" t="s">
        <v>83</v>
      </c>
      <c r="X21" t="s">
        <v>32</v>
      </c>
      <c r="Y21" s="6" t="s">
        <v>33</v>
      </c>
      <c r="Z21" t="s">
        <v>34</v>
      </c>
    </row>
    <row r="22" spans="1:26" x14ac:dyDescent="0.25">
      <c r="A22" t="s">
        <v>84</v>
      </c>
      <c r="B22" t="s">
        <v>85</v>
      </c>
      <c r="C22" s="24">
        <v>45251</v>
      </c>
      <c r="D22" s="14">
        <v>500000</v>
      </c>
      <c r="E22" t="s">
        <v>28</v>
      </c>
      <c r="F22" t="s">
        <v>29</v>
      </c>
      <c r="G22" s="14">
        <v>500000</v>
      </c>
      <c r="H22" s="14">
        <v>266600</v>
      </c>
      <c r="I22" s="19">
        <f t="shared" si="0"/>
        <v>53.32</v>
      </c>
      <c r="J22" s="14">
        <v>567148</v>
      </c>
      <c r="K22" s="14">
        <f>G22-303361</f>
        <v>196639</v>
      </c>
      <c r="L22" s="14">
        <v>263787</v>
      </c>
      <c r="M22" s="29">
        <v>155.16879599999999</v>
      </c>
      <c r="N22" s="33">
        <v>250</v>
      </c>
      <c r="O22" s="38">
        <v>1.01</v>
      </c>
      <c r="P22" s="38">
        <v>1.07</v>
      </c>
      <c r="Q22" s="14">
        <f t="shared" si="1"/>
        <v>1267.2586568242755</v>
      </c>
      <c r="R22" s="14">
        <f t="shared" si="2"/>
        <v>194692.07920792079</v>
      </c>
      <c r="S22" s="43">
        <f t="shared" si="3"/>
        <v>4.4695151333315151</v>
      </c>
      <c r="T22" s="38">
        <v>176</v>
      </c>
      <c r="U22" s="5" t="s">
        <v>30</v>
      </c>
      <c r="V22" t="s">
        <v>86</v>
      </c>
      <c r="X22" t="s">
        <v>32</v>
      </c>
      <c r="Y22" s="6" t="s">
        <v>33</v>
      </c>
      <c r="Z22" t="s">
        <v>34</v>
      </c>
    </row>
    <row r="23" spans="1:26" x14ac:dyDescent="0.25">
      <c r="A23" t="s">
        <v>87</v>
      </c>
      <c r="B23" t="s">
        <v>88</v>
      </c>
      <c r="C23" s="24">
        <v>45469</v>
      </c>
      <c r="D23" s="14">
        <v>292000</v>
      </c>
      <c r="E23" t="s">
        <v>28</v>
      </c>
      <c r="F23" t="s">
        <v>29</v>
      </c>
      <c r="G23" s="14">
        <v>292000</v>
      </c>
      <c r="H23" s="14">
        <v>107700</v>
      </c>
      <c r="I23" s="19">
        <f t="shared" si="0"/>
        <v>36.88356164383562</v>
      </c>
      <c r="J23" s="14">
        <v>215427</v>
      </c>
      <c r="K23" s="14">
        <f>G23-149708</f>
        <v>142292</v>
      </c>
      <c r="L23" s="14">
        <v>65719</v>
      </c>
      <c r="M23" s="29">
        <v>64.430616999999998</v>
      </c>
      <c r="N23" s="33">
        <v>121</v>
      </c>
      <c r="O23" s="38">
        <v>0.19</v>
      </c>
      <c r="P23" s="38">
        <v>0.19</v>
      </c>
      <c r="Q23" s="14">
        <f t="shared" si="1"/>
        <v>2208.4531644326798</v>
      </c>
      <c r="R23" s="14">
        <f t="shared" si="2"/>
        <v>748905.26315789472</v>
      </c>
      <c r="S23" s="43">
        <f t="shared" si="3"/>
        <v>17.192499154221643</v>
      </c>
      <c r="T23" s="38">
        <v>74</v>
      </c>
      <c r="U23" s="5" t="s">
        <v>30</v>
      </c>
      <c r="V23" t="s">
        <v>89</v>
      </c>
      <c r="X23" t="s">
        <v>32</v>
      </c>
      <c r="Y23" s="6" t="s">
        <v>33</v>
      </c>
      <c r="Z23" t="s">
        <v>34</v>
      </c>
    </row>
    <row r="24" spans="1:26" ht="15.75" thickBot="1" x14ac:dyDescent="0.3">
      <c r="A24" t="s">
        <v>90</v>
      </c>
      <c r="B24" t="s">
        <v>91</v>
      </c>
      <c r="C24" s="24">
        <v>45510</v>
      </c>
      <c r="D24" s="14">
        <v>237000</v>
      </c>
      <c r="E24" t="s">
        <v>28</v>
      </c>
      <c r="F24" t="s">
        <v>29</v>
      </c>
      <c r="G24" s="14">
        <v>237000</v>
      </c>
      <c r="H24" s="14">
        <v>120900</v>
      </c>
      <c r="I24" s="19">
        <f t="shared" si="0"/>
        <v>51.012658227848107</v>
      </c>
      <c r="J24" s="14">
        <v>241855</v>
      </c>
      <c r="K24" s="14">
        <f>G24-145933</f>
        <v>91067</v>
      </c>
      <c r="L24" s="14">
        <v>95922</v>
      </c>
      <c r="M24" s="29">
        <v>75.232952999999995</v>
      </c>
      <c r="N24" s="33">
        <v>149.5</v>
      </c>
      <c r="O24" s="38">
        <v>0.28000000000000003</v>
      </c>
      <c r="P24" s="38">
        <v>0.28000000000000003</v>
      </c>
      <c r="Q24" s="14">
        <f t="shared" si="1"/>
        <v>1210.4669080316442</v>
      </c>
      <c r="R24" s="14">
        <f t="shared" si="2"/>
        <v>325239.28571428568</v>
      </c>
      <c r="S24" s="43">
        <f t="shared" si="3"/>
        <v>7.4664666141938865</v>
      </c>
      <c r="T24" s="38">
        <v>80</v>
      </c>
      <c r="U24" s="5" t="s">
        <v>30</v>
      </c>
      <c r="V24" t="s">
        <v>92</v>
      </c>
      <c r="X24" t="s">
        <v>32</v>
      </c>
      <c r="Y24" s="6" t="s">
        <v>33</v>
      </c>
      <c r="Z24" t="s">
        <v>34</v>
      </c>
    </row>
    <row r="25" spans="1:26" ht="15.75" thickTop="1" x14ac:dyDescent="0.25">
      <c r="A25" s="7"/>
      <c r="B25" s="7"/>
      <c r="C25" s="25" t="s">
        <v>93</v>
      </c>
      <c r="D25" s="15">
        <f>+SUM(D2:D24)</f>
        <v>8153113</v>
      </c>
      <c r="E25" s="7"/>
      <c r="F25" s="7"/>
      <c r="G25" s="15">
        <f>+SUM(G2:G24)</f>
        <v>8153113</v>
      </c>
      <c r="H25" s="15">
        <f>+SUM(H2:H24)</f>
        <v>3167500</v>
      </c>
      <c r="I25" s="20"/>
      <c r="J25" s="15">
        <f>+SUM(J2:J24)</f>
        <v>6968450</v>
      </c>
      <c r="K25" s="15">
        <f>+SUM(K2:K24)</f>
        <v>3925988</v>
      </c>
      <c r="L25" s="15">
        <f>+SUM(L2:L24)</f>
        <v>2741325</v>
      </c>
      <c r="M25" s="30">
        <f>+SUM(M2:M24)</f>
        <v>1829.4395829999999</v>
      </c>
      <c r="N25" s="34"/>
      <c r="O25" s="39">
        <f>+SUM(O2:O24)</f>
        <v>8.456999999999999</v>
      </c>
      <c r="P25" s="39">
        <f>+SUM(P2:P24)</f>
        <v>8.9390000000000001</v>
      </c>
      <c r="Q25" s="15"/>
      <c r="R25" s="15"/>
      <c r="S25" s="44"/>
      <c r="T25" s="39"/>
      <c r="U25" s="8"/>
      <c r="V25" s="7"/>
      <c r="W25" s="7"/>
      <c r="X25" s="7"/>
      <c r="Y25" s="7"/>
      <c r="Z25" s="7"/>
    </row>
    <row r="26" spans="1:26" x14ac:dyDescent="0.25">
      <c r="A26" s="9"/>
      <c r="B26" s="9"/>
      <c r="C26" s="26"/>
      <c r="D26" s="16"/>
      <c r="E26" s="9"/>
      <c r="F26" s="9"/>
      <c r="G26" s="16"/>
      <c r="H26" s="16" t="s">
        <v>94</v>
      </c>
      <c r="I26" s="21">
        <f>H25/G25*100</f>
        <v>38.850191331826259</v>
      </c>
      <c r="J26" s="16"/>
      <c r="K26" s="16"/>
      <c r="L26" s="16" t="s">
        <v>95</v>
      </c>
      <c r="M26" s="31"/>
      <c r="N26" s="35"/>
      <c r="O26" s="40" t="s">
        <v>95</v>
      </c>
      <c r="P26" s="40"/>
      <c r="Q26" s="16"/>
      <c r="R26" s="16" t="s">
        <v>95</v>
      </c>
      <c r="S26" s="45"/>
      <c r="T26" s="40"/>
      <c r="U26" s="10"/>
      <c r="V26" s="9"/>
      <c r="W26" s="9"/>
      <c r="X26" s="9"/>
      <c r="Y26" s="9"/>
      <c r="Z26" s="9"/>
    </row>
    <row r="27" spans="1:26" x14ac:dyDescent="0.25">
      <c r="A27" s="11"/>
      <c r="B27" s="11"/>
      <c r="C27" s="27"/>
      <c r="D27" s="17"/>
      <c r="E27" s="11"/>
      <c r="F27" s="11"/>
      <c r="G27" s="17"/>
      <c r="H27" s="17" t="s">
        <v>96</v>
      </c>
      <c r="I27" s="22">
        <f>STDEV(I2:I24)</f>
        <v>11.700787144657028</v>
      </c>
      <c r="J27" s="17"/>
      <c r="K27" s="17"/>
      <c r="L27" s="17" t="s">
        <v>97</v>
      </c>
      <c r="M27" s="47">
        <f>K25/M25</f>
        <v>2146.0058241234633</v>
      </c>
      <c r="N27" s="36"/>
      <c r="O27" s="41" t="s">
        <v>98</v>
      </c>
      <c r="P27" s="41">
        <f>K25/O25</f>
        <v>464229.39576682047</v>
      </c>
      <c r="Q27" s="17"/>
      <c r="R27" s="17" t="s">
        <v>99</v>
      </c>
      <c r="S27" s="46">
        <f>K25/O25/43560</f>
        <v>10.657240490514702</v>
      </c>
      <c r="T27" s="41"/>
      <c r="U27" s="12"/>
      <c r="V27" s="11"/>
      <c r="W27" s="11"/>
      <c r="X27" s="11"/>
      <c r="Y27" s="11"/>
      <c r="Z27" s="11"/>
    </row>
    <row r="29" spans="1:26" x14ac:dyDescent="0.25">
      <c r="L29" s="14" t="s">
        <v>100</v>
      </c>
      <c r="M29" s="14">
        <v>1700</v>
      </c>
      <c r="N29" s="33" t="s">
        <v>102</v>
      </c>
    </row>
    <row r="30" spans="1:26" x14ac:dyDescent="0.25">
      <c r="L30" s="14" t="s">
        <v>101</v>
      </c>
      <c r="M30" s="14">
        <v>1850</v>
      </c>
      <c r="N30" s="33" t="s">
        <v>102</v>
      </c>
    </row>
  </sheetData>
  <sortState xmlns:xlrd2="http://schemas.microsoft.com/office/spreadsheetml/2017/richdata2" ref="A2:Z24">
    <sortCondition ref="A2:A24"/>
  </sortState>
  <conditionalFormatting sqref="A2:Z24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r:id="rId1"/>
  <headerFooter>
    <oddHeader>&amp;C2025 Garfield Twp Lakefront Land Study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E437D-07F5-43F7-9779-6942CCBEC63D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rainey</dc:creator>
  <cp:lastModifiedBy>j rainey</cp:lastModifiedBy>
  <dcterms:created xsi:type="dcterms:W3CDTF">2024-09-26T17:11:27Z</dcterms:created>
  <dcterms:modified xsi:type="dcterms:W3CDTF">2024-10-23T22:11:47Z</dcterms:modified>
</cp:coreProperties>
</file>